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30" windowWidth="19740" windowHeight="7620"/>
  </bookViews>
  <sheets>
    <sheet name="WACC" sheetId="1" r:id="rId1"/>
    <sheet name="Valuation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H31" i="1" l="1"/>
  <c r="G31" i="1"/>
  <c r="F31" i="1"/>
  <c r="E31" i="1"/>
  <c r="E9" i="1"/>
  <c r="D75" i="1" l="1"/>
  <c r="E32" i="1" l="1"/>
  <c r="F32" i="1" s="1"/>
  <c r="H72" i="1"/>
  <c r="H71" i="1"/>
  <c r="H70" i="1"/>
  <c r="E69" i="1"/>
  <c r="H69" i="1" s="1"/>
  <c r="E68" i="1"/>
  <c r="H68" i="1" s="1"/>
  <c r="H47" i="1"/>
  <c r="G47" i="1"/>
  <c r="F47" i="1"/>
  <c r="E47" i="1"/>
  <c r="D47" i="1"/>
  <c r="H29" i="1"/>
  <c r="G29" i="1"/>
  <c r="F29" i="1"/>
  <c r="E29" i="1"/>
  <c r="D29" i="1"/>
  <c r="A25" i="1"/>
  <c r="H21" i="1"/>
  <c r="G21" i="1"/>
  <c r="F21" i="1"/>
  <c r="E21" i="1"/>
  <c r="D21" i="1"/>
  <c r="D22" i="1"/>
  <c r="H18" i="1"/>
  <c r="G18" i="1"/>
  <c r="F18" i="1"/>
  <c r="E18" i="1"/>
  <c r="D18" i="1"/>
  <c r="F9" i="1"/>
  <c r="G9" i="1" s="1"/>
  <c r="H7" i="1"/>
  <c r="H50" i="1" s="1"/>
  <c r="G7" i="1"/>
  <c r="G50" i="1" s="1"/>
  <c r="F7" i="1"/>
  <c r="F50" i="1" s="1"/>
  <c r="E7" i="1"/>
  <c r="E50" i="1" s="1"/>
  <c r="D7" i="1"/>
  <c r="D50" i="1" s="1"/>
  <c r="J19" i="2"/>
  <c r="I19" i="2"/>
  <c r="H19" i="2"/>
  <c r="G19" i="2"/>
  <c r="F19" i="2"/>
  <c r="H10" i="2"/>
  <c r="H13" i="2" s="1"/>
  <c r="J10" i="2"/>
  <c r="J13" i="2" s="1"/>
  <c r="G10" i="2"/>
  <c r="G13" i="2" s="1"/>
  <c r="F10" i="2"/>
  <c r="F13" i="2" s="1"/>
  <c r="E19" i="1" l="1"/>
  <c r="F19" i="1" s="1"/>
  <c r="G32" i="1"/>
  <c r="D10" i="1"/>
  <c r="D11" i="1" s="1"/>
  <c r="D51" i="1" s="1"/>
  <c r="D15" i="1" s="1"/>
  <c r="E75" i="1"/>
  <c r="E22" i="1"/>
  <c r="F22" i="1" s="1"/>
  <c r="G22" i="1" s="1"/>
  <c r="H22" i="1" s="1"/>
  <c r="D23" i="1"/>
  <c r="D56" i="1" s="1"/>
  <c r="H9" i="1"/>
  <c r="D35" i="1"/>
  <c r="I10" i="2"/>
  <c r="I13" i="2" s="1"/>
  <c r="F23" i="1" l="1"/>
  <c r="F56" i="1" s="1"/>
  <c r="G19" i="1"/>
  <c r="G23" i="1" s="1"/>
  <c r="G56" i="1" s="1"/>
  <c r="E23" i="1"/>
  <c r="E56" i="1" s="1"/>
  <c r="E10" i="1"/>
  <c r="E11" i="1" s="1"/>
  <c r="E51" i="1" s="1"/>
  <c r="E15" i="1" s="1"/>
  <c r="F75" i="1"/>
  <c r="E35" i="1"/>
  <c r="H32" i="1"/>
  <c r="D39" i="1"/>
  <c r="D38" i="1"/>
  <c r="D55" i="1" s="1"/>
  <c r="D59" i="1" s="1"/>
  <c r="D37" i="1"/>
  <c r="H19" i="1" l="1"/>
  <c r="H23" i="1" s="1"/>
  <c r="H56" i="1" s="1"/>
  <c r="F35" i="1"/>
  <c r="D41" i="1"/>
  <c r="D49" i="1"/>
  <c r="D53" i="1" s="1"/>
  <c r="D61" i="1" s="1"/>
  <c r="E39" i="1"/>
  <c r="E38" i="1"/>
  <c r="E55" i="1" s="1"/>
  <c r="E59" i="1" s="1"/>
  <c r="F10" i="1"/>
  <c r="F11" i="1" s="1"/>
  <c r="F51" i="1" s="1"/>
  <c r="F15" i="1" s="1"/>
  <c r="G75" i="1"/>
  <c r="E37" i="1"/>
  <c r="D25" i="1" l="1"/>
  <c r="O16" i="2"/>
  <c r="F16" i="2" s="1"/>
  <c r="H75" i="1"/>
  <c r="G10" i="1"/>
  <c r="G11" i="1" s="1"/>
  <c r="G51" i="1" s="1"/>
  <c r="G15" i="1" s="1"/>
  <c r="F39" i="1"/>
  <c r="F38" i="1"/>
  <c r="F55" i="1" s="1"/>
  <c r="F59" i="1" s="1"/>
  <c r="E41" i="1"/>
  <c r="E49" i="1"/>
  <c r="E53" i="1" s="1"/>
  <c r="E61" i="1" s="1"/>
  <c r="F37" i="1"/>
  <c r="G35" i="1"/>
  <c r="G37" i="1" s="1"/>
  <c r="F20" i="2" l="1"/>
  <c r="E25" i="1"/>
  <c r="P16" i="2"/>
  <c r="G16" i="2" s="1"/>
  <c r="H35" i="1"/>
  <c r="F49" i="1"/>
  <c r="F53" i="1" s="1"/>
  <c r="F61" i="1" s="1"/>
  <c r="F41" i="1"/>
  <c r="G39" i="1"/>
  <c r="G38" i="1"/>
  <c r="G55" i="1" s="1"/>
  <c r="G59" i="1" s="1"/>
  <c r="G49" i="1"/>
  <c r="G53" i="1" s="1"/>
  <c r="H10" i="1"/>
  <c r="H11" i="1" s="1"/>
  <c r="H51" i="1" s="1"/>
  <c r="H15" i="1" s="1"/>
  <c r="F25" i="1" l="1"/>
  <c r="Q16" i="2"/>
  <c r="H16" i="2" s="1"/>
  <c r="G20" i="2"/>
  <c r="G61" i="1"/>
  <c r="H39" i="1"/>
  <c r="H38" i="1"/>
  <c r="H55" i="1" s="1"/>
  <c r="H59" i="1" s="1"/>
  <c r="G41" i="1"/>
  <c r="H37" i="1"/>
  <c r="H20" i="2" l="1"/>
  <c r="G25" i="1"/>
  <c r="R16" i="2"/>
  <c r="I16" i="2" s="1"/>
  <c r="H41" i="1"/>
  <c r="H49" i="1"/>
  <c r="H53" i="1" s="1"/>
  <c r="H61" i="1" s="1"/>
  <c r="I20" i="2" l="1"/>
  <c r="H25" i="1"/>
  <c r="S16" i="2"/>
  <c r="E21" i="2" s="1"/>
  <c r="J16" i="2" l="1"/>
  <c r="J20" i="2" s="1"/>
  <c r="E20" i="2" s="1"/>
  <c r="E22" i="2" l="1"/>
  <c r="E23" i="2" l="1"/>
  <c r="E28" i="2" s="1"/>
  <c r="C22" i="2" l="1"/>
</calcChain>
</file>

<file path=xl/sharedStrings.xml><?xml version="1.0" encoding="utf-8"?>
<sst xmlns="http://schemas.openxmlformats.org/spreadsheetml/2006/main" count="128" uniqueCount="73">
  <si>
    <t>market</t>
  </si>
  <si>
    <t>company</t>
  </si>
  <si>
    <t>risk prem</t>
  </si>
  <si>
    <t>risk</t>
  </si>
  <si>
    <t>Statista</t>
  </si>
  <si>
    <t>6,6%ave2022</t>
  </si>
  <si>
    <t>_</t>
  </si>
  <si>
    <t xml:space="preserve"> </t>
  </si>
  <si>
    <t>=</t>
  </si>
  <si>
    <t xml:space="preserve">  ______</t>
  </si>
  <si>
    <t xml:space="preserve">Beta (levered) </t>
  </si>
  <si>
    <t>Debt/Equity Ratio</t>
  </si>
  <si>
    <t>Tax Rate</t>
  </si>
  <si>
    <t>Beta (ulevered)</t>
  </si>
  <si>
    <t>EBITDA</t>
  </si>
  <si>
    <t>Tax</t>
  </si>
  <si>
    <t>(Increase)/Decrease Working Capital</t>
  </si>
  <si>
    <t>Investments</t>
  </si>
  <si>
    <t>Free Cash Flow to the Firm</t>
  </si>
  <si>
    <t>Discount rate</t>
  </si>
  <si>
    <t>Residual Value</t>
  </si>
  <si>
    <t>Present Value of Residual Value</t>
  </si>
  <si>
    <t>Value of the Company</t>
  </si>
  <si>
    <t xml:space="preserve">YTM </t>
  </si>
  <si>
    <t>Gov. Bond</t>
  </si>
  <si>
    <t>Calculation Assumptions</t>
  </si>
  <si>
    <t>Inflation</t>
  </si>
  <si>
    <t>Equity Risk Premium Greece</t>
  </si>
  <si>
    <t>Beta</t>
  </si>
  <si>
    <t>Risk Premium</t>
  </si>
  <si>
    <t>Real Risk Free Rate</t>
  </si>
  <si>
    <t>Nominal Risk Free Rate</t>
  </si>
  <si>
    <t>Opportunity Cost Equity</t>
  </si>
  <si>
    <t>Nominal interest rate short term debt</t>
  </si>
  <si>
    <t>Real interest rate short term debt</t>
  </si>
  <si>
    <t>% short term debt</t>
  </si>
  <si>
    <t>Nominal interest rate long term debt</t>
  </si>
  <si>
    <t>Real interest rate long term debt</t>
  </si>
  <si>
    <t>% long term loans</t>
  </si>
  <si>
    <t>Weighted average cost of Debt</t>
  </si>
  <si>
    <t>Capital Structure and WACC</t>
  </si>
  <si>
    <t>(in Euros)</t>
  </si>
  <si>
    <t>Equity</t>
  </si>
  <si>
    <t>Debt</t>
  </si>
  <si>
    <t>Total</t>
  </si>
  <si>
    <t>Equity %</t>
  </si>
  <si>
    <t>Debt %</t>
  </si>
  <si>
    <t>Subsidies %</t>
  </si>
  <si>
    <t>TOTAL</t>
  </si>
  <si>
    <t>WACC Calculation</t>
  </si>
  <si>
    <t>% Equity</t>
  </si>
  <si>
    <t>Risk free Rate</t>
  </si>
  <si>
    <t>Weighted Cost of Equity (1)</t>
  </si>
  <si>
    <t>% Debt</t>
  </si>
  <si>
    <t>Weighted Cost of Debt</t>
  </si>
  <si>
    <t>Tax rate</t>
  </si>
  <si>
    <t>Weighted Cost of Debt (2)</t>
  </si>
  <si>
    <t>Weighted Average Cost of Capital   (1)+(2)</t>
  </si>
  <si>
    <t>Beta Calculation</t>
  </si>
  <si>
    <t>Company</t>
  </si>
  <si>
    <t>Revenue 2022</t>
  </si>
  <si>
    <t>TRA</t>
  </si>
  <si>
    <t>BRI</t>
  </si>
  <si>
    <t>Weighted Unlevered Beta</t>
  </si>
  <si>
    <t>Value of Shares</t>
  </si>
  <si>
    <t>Weighted Average Cost of Capital (WACC)</t>
  </si>
  <si>
    <t>Present Value Future Net Cash Flows at 30/6/2025</t>
  </si>
  <si>
    <t>Minus Debt Outstanding 30/6/2025</t>
  </si>
  <si>
    <t>Plus Investment Portfolio Securities 30/6/2025</t>
  </si>
  <si>
    <t>Plus Cash and Cash Equivelants 30/6/2025</t>
  </si>
  <si>
    <t>Grants / Subsidies</t>
  </si>
  <si>
    <t>Plus Market Value Investment in Subsidiaries 30/6/2025</t>
  </si>
  <si>
    <t>Growth rate after 2029 (g)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</si>
</sst>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-* #,##0_-;\-* #,##0_-;_-* &quot;-&quot;_-;_-@_-"/>
    <numFmt numFmtId="164" formatCode="#\ ##0;\(#\ ##0\)"/>
    <numFmt numFmtId="165" formatCode="#,##0_ ;[Red]\-#,##0\ "/>
    <numFmt numFmtId="166" formatCode="0.0000"/>
    <numFmt numFmtId="167" formatCode="0.0%"/>
    <numFmt numFmtId="168" formatCode="0.000"/>
    <numFmt numFmtId="169" formatCode="_-* #,##0\ _Δ_ρ_χ_-;\-* #,##0\ _Δ_ρ_χ_-;_-* &quot;-&quot;\ _Δ_ρ_χ_-;_-@_-"/>
    <numFmt numFmtId="170" formatCode="#\ ##0"/>
    <numFmt numFmtId="171" formatCode="#,##0;\(#,##0\)"/>
    <numFmt numFmtId="172" formatCode="0.00_)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Tahoma"/>
      <family val="2"/>
    </font>
    <font>
      <sz val="11"/>
      <color rgb="FF000000"/>
      <name val="Tahoma"/>
      <family val="2"/>
    </font>
    <font>
      <i/>
      <sz val="10"/>
      <name val="Tahoma"/>
      <family val="2"/>
    </font>
    <font>
      <i/>
      <sz val="11"/>
      <name val="Tahoma"/>
      <family val="2"/>
    </font>
    <font>
      <sz val="11"/>
      <color rgb="FF000000"/>
      <name val="Calibri"/>
      <family val="2"/>
      <charset val="161"/>
    </font>
    <font>
      <sz val="11"/>
      <color rgb="FF000000"/>
      <name val="Calibri"/>
      <family val="2"/>
    </font>
    <font>
      <sz val="9"/>
      <name val="Tahoma"/>
      <family val="2"/>
    </font>
    <font>
      <b/>
      <i/>
      <sz val="9"/>
      <name val="Tahoma"/>
      <family val="2"/>
    </font>
    <font>
      <b/>
      <sz val="9"/>
      <name val="Tahoma"/>
      <family val="2"/>
    </font>
    <font>
      <b/>
      <i/>
      <sz val="10"/>
      <name val="Tahoma"/>
      <family val="2"/>
    </font>
    <font>
      <b/>
      <sz val="10"/>
      <name val="Arial Greek"/>
    </font>
    <font>
      <b/>
      <sz val="8"/>
      <name val="Tahoma"/>
      <family val="2"/>
    </font>
    <font>
      <sz val="8"/>
      <name val="Tahoma"/>
      <family val="2"/>
    </font>
    <font>
      <b/>
      <i/>
      <sz val="8"/>
      <name val="Tahoma"/>
      <family val="2"/>
    </font>
    <font>
      <sz val="8"/>
      <color rgb="FF0000FF"/>
      <name val="Tahoma"/>
      <family val="2"/>
    </font>
    <font>
      <sz val="10"/>
      <name val="Arial Greek"/>
      <charset val="161"/>
    </font>
    <font>
      <i/>
      <sz val="8"/>
      <name val="Tahoma"/>
      <family val="2"/>
    </font>
    <font>
      <sz val="8"/>
      <name val="PA-Serif"/>
      <charset val="161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000000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1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7" fillId="0" borderId="0"/>
  </cellStyleXfs>
  <cellXfs count="104">
    <xf numFmtId="0" fontId="0" fillId="0" borderId="0" xfId="0"/>
    <xf numFmtId="0" fontId="2" fillId="0" borderId="0" xfId="0" applyFont="1" applyFill="1" applyBorder="1"/>
    <xf numFmtId="0" fontId="3" fillId="0" borderId="0" xfId="0" applyFont="1" applyFill="1" applyBorder="1"/>
    <xf numFmtId="0" fontId="4" fillId="0" borderId="0" xfId="0" applyFont="1" applyFill="1" applyBorder="1"/>
    <xf numFmtId="164" fontId="5" fillId="0" borderId="0" xfId="0" applyNumberFormat="1" applyFont="1" applyFill="1" applyBorder="1"/>
    <xf numFmtId="3" fontId="3" fillId="0" borderId="0" xfId="0" applyNumberFormat="1" applyFont="1" applyFill="1" applyBorder="1"/>
    <xf numFmtId="3" fontId="6" fillId="0" borderId="0" xfId="0" applyNumberFormat="1" applyFont="1" applyFill="1" applyBorder="1"/>
    <xf numFmtId="0" fontId="6" fillId="0" borderId="0" xfId="0" applyFont="1" applyFill="1" applyBorder="1"/>
    <xf numFmtId="0" fontId="7" fillId="0" borderId="0" xfId="0" applyFont="1" applyFill="1" applyBorder="1"/>
    <xf numFmtId="0" fontId="8" fillId="0" borderId="0" xfId="0" applyFont="1" applyFill="1" applyBorder="1"/>
    <xf numFmtId="0" fontId="9" fillId="0" borderId="0" xfId="0" applyFont="1" applyFill="1" applyBorder="1" applyAlignment="1">
      <alignment horizontal="center"/>
    </xf>
    <xf numFmtId="165" fontId="6" fillId="0" borderId="0" xfId="0" applyNumberFormat="1" applyFont="1" applyFill="1" applyBorder="1"/>
    <xf numFmtId="0" fontId="10" fillId="0" borderId="1" xfId="0" applyFont="1" applyFill="1" applyBorder="1" applyAlignment="1">
      <alignment wrapText="1"/>
    </xf>
    <xf numFmtId="165" fontId="4" fillId="0" borderId="0" xfId="0" applyNumberFormat="1" applyFont="1" applyFill="1" applyBorder="1"/>
    <xf numFmtId="9" fontId="6" fillId="0" borderId="0" xfId="2" applyFont="1" applyFill="1" applyBorder="1"/>
    <xf numFmtId="0" fontId="10" fillId="0" borderId="1" xfId="0" applyFont="1" applyFill="1" applyBorder="1"/>
    <xf numFmtId="165" fontId="11" fillId="0" borderId="0" xfId="0" applyNumberFormat="1" applyFont="1" applyFill="1" applyBorder="1"/>
    <xf numFmtId="165" fontId="12" fillId="0" borderId="0" xfId="0" applyNumberFormat="1" applyFont="1" applyFill="1" applyBorder="1"/>
    <xf numFmtId="0" fontId="10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center"/>
    </xf>
    <xf numFmtId="0" fontId="10" fillId="0" borderId="0" xfId="0" applyFont="1" applyFill="1" applyBorder="1"/>
    <xf numFmtId="3" fontId="6" fillId="0" borderId="0" xfId="0" applyNumberFormat="1" applyFont="1" applyFill="1" applyBorder="1" applyAlignment="1">
      <alignment horizontal="center"/>
    </xf>
    <xf numFmtId="0" fontId="10" fillId="0" borderId="2" xfId="0" applyFont="1" applyFill="1" applyBorder="1"/>
    <xf numFmtId="10" fontId="3" fillId="0" borderId="0" xfId="0" applyNumberFormat="1" applyFont="1" applyFill="1" applyBorder="1"/>
    <xf numFmtId="166" fontId="4" fillId="0" borderId="0" xfId="0" applyNumberFormat="1" applyFont="1" applyFill="1" applyBorder="1"/>
    <xf numFmtId="166" fontId="6" fillId="0" borderId="0" xfId="0" applyNumberFormat="1" applyFont="1" applyFill="1" applyBorder="1"/>
    <xf numFmtId="10" fontId="6" fillId="0" borderId="0" xfId="0" applyNumberFormat="1" applyFont="1" applyFill="1" applyBorder="1" applyAlignment="1">
      <alignment horizontal="center"/>
    </xf>
    <xf numFmtId="10" fontId="6" fillId="0" borderId="0" xfId="0" applyNumberFormat="1" applyFont="1" applyFill="1" applyBorder="1"/>
    <xf numFmtId="0" fontId="10" fillId="0" borderId="3" xfId="0" applyFont="1" applyFill="1" applyBorder="1" applyAlignment="1">
      <alignment wrapText="1"/>
    </xf>
    <xf numFmtId="167" fontId="3" fillId="0" borderId="0" xfId="0" applyNumberFormat="1" applyFont="1" applyFill="1" applyBorder="1"/>
    <xf numFmtId="167" fontId="4" fillId="0" borderId="0" xfId="0" applyNumberFormat="1" applyFont="1" applyFill="1" applyBorder="1"/>
    <xf numFmtId="17" fontId="6" fillId="0" borderId="0" xfId="0" applyNumberFormat="1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0" fillId="0" borderId="2" xfId="0" applyFont="1" applyFill="1" applyBorder="1" applyAlignment="1">
      <alignment wrapText="1"/>
    </xf>
    <xf numFmtId="165" fontId="2" fillId="0" borderId="5" xfId="0" applyNumberFormat="1" applyFont="1" applyFill="1" applyBorder="1"/>
    <xf numFmtId="165" fontId="2" fillId="0" borderId="0" xfId="0" applyNumberFormat="1" applyFont="1" applyFill="1" applyBorder="1"/>
    <xf numFmtId="0" fontId="10" fillId="0" borderId="6" xfId="0" applyFont="1" applyFill="1" applyBorder="1" applyAlignment="1">
      <alignment wrapText="1"/>
    </xf>
    <xf numFmtId="165" fontId="2" fillId="0" borderId="7" xfId="0" applyNumberFormat="1" applyFont="1" applyFill="1" applyBorder="1"/>
    <xf numFmtId="0" fontId="10" fillId="0" borderId="3" xfId="0" applyFont="1" applyFill="1" applyBorder="1"/>
    <xf numFmtId="0" fontId="10" fillId="0" borderId="6" xfId="0" applyFont="1" applyFill="1" applyBorder="1"/>
    <xf numFmtId="0" fontId="10" fillId="0" borderId="8" xfId="0" applyFont="1" applyFill="1" applyBorder="1"/>
    <xf numFmtId="165" fontId="2" fillId="0" borderId="9" xfId="0" applyNumberFormat="1" applyFont="1" applyFill="1" applyBorder="1"/>
    <xf numFmtId="0" fontId="3" fillId="0" borderId="0" xfId="0" applyFont="1" applyFill="1" applyBorder="1" applyAlignment="1">
      <alignment horizontal="right"/>
    </xf>
    <xf numFmtId="9" fontId="3" fillId="0" borderId="0" xfId="0" applyNumberFormat="1" applyFont="1" applyFill="1" applyBorder="1"/>
    <xf numFmtId="0" fontId="13" fillId="0" borderId="0" xfId="0" applyFont="1" applyFill="1" applyBorder="1"/>
    <xf numFmtId="0" fontId="14" fillId="0" borderId="0" xfId="0" applyFont="1" applyFill="1" applyBorder="1"/>
    <xf numFmtId="0" fontId="15" fillId="0" borderId="0" xfId="0" applyFont="1" applyFill="1" applyBorder="1" applyAlignment="1">
      <alignment horizontal="right"/>
    </xf>
    <xf numFmtId="0" fontId="15" fillId="0" borderId="0" xfId="0" applyFont="1" applyFill="1" applyBorder="1" applyAlignment="1">
      <alignment horizontal="center"/>
    </xf>
    <xf numFmtId="0" fontId="14" fillId="0" borderId="0" xfId="0" quotePrefix="1" applyFont="1" applyFill="1" applyBorder="1" applyAlignment="1">
      <alignment horizontal="fill" vertical="center"/>
    </xf>
    <xf numFmtId="167" fontId="16" fillId="0" borderId="0" xfId="0" applyNumberFormat="1" applyFont="1" applyFill="1" applyBorder="1" applyProtection="1">
      <protection locked="0"/>
    </xf>
    <xf numFmtId="167" fontId="14" fillId="0" borderId="0" xfId="0" applyNumberFormat="1" applyFont="1" applyFill="1" applyBorder="1"/>
    <xf numFmtId="10" fontId="16" fillId="0" borderId="0" xfId="0" applyNumberFormat="1" applyFont="1" applyFill="1" applyBorder="1" applyProtection="1">
      <protection locked="0"/>
    </xf>
    <xf numFmtId="0" fontId="15" fillId="0" borderId="0" xfId="0" applyFont="1" applyFill="1" applyBorder="1"/>
    <xf numFmtId="168" fontId="16" fillId="0" borderId="0" xfId="0" applyNumberFormat="1" applyFont="1" applyFill="1" applyBorder="1" applyProtection="1">
      <protection locked="0"/>
    </xf>
    <xf numFmtId="10" fontId="14" fillId="0" borderId="0" xfId="0" applyNumberFormat="1" applyFont="1" applyFill="1" applyBorder="1"/>
    <xf numFmtId="167" fontId="14" fillId="0" borderId="0" xfId="2" applyNumberFormat="1" applyFont="1" applyFill="1" applyBorder="1"/>
    <xf numFmtId="9" fontId="14" fillId="0" borderId="0" xfId="2" applyFont="1" applyFill="1" applyBorder="1"/>
    <xf numFmtId="10" fontId="14" fillId="0" borderId="0" xfId="2" applyNumberFormat="1" applyFont="1" applyFill="1" applyBorder="1"/>
    <xf numFmtId="167" fontId="14" fillId="2" borderId="0" xfId="2" applyNumberFormat="1" applyFont="1" applyFill="1" applyBorder="1"/>
    <xf numFmtId="0" fontId="13" fillId="0" borderId="0" xfId="3" applyFont="1" applyFill="1" applyBorder="1"/>
    <xf numFmtId="169" fontId="14" fillId="0" borderId="0" xfId="1" applyNumberFormat="1" applyFont="1" applyFill="1" applyBorder="1" applyAlignment="1">
      <alignment vertical="center"/>
    </xf>
    <xf numFmtId="0" fontId="18" fillId="0" borderId="0" xfId="0" applyFont="1" applyFill="1" applyBorder="1"/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fill" vertical="center"/>
    </xf>
    <xf numFmtId="170" fontId="14" fillId="0" borderId="0" xfId="0" applyNumberFormat="1" applyFont="1" applyFill="1" applyBorder="1"/>
    <xf numFmtId="3" fontId="14" fillId="0" borderId="0" xfId="0" applyNumberFormat="1" applyFont="1" applyFill="1" applyBorder="1"/>
    <xf numFmtId="169" fontId="14" fillId="0" borderId="0" xfId="1" applyNumberFormat="1" applyFont="1" applyFill="1" applyBorder="1" applyAlignment="1">
      <alignment horizontal="fill" vertical="center"/>
    </xf>
    <xf numFmtId="171" fontId="14" fillId="0" borderId="0" xfId="0" applyNumberFormat="1" applyFont="1" applyFill="1" applyBorder="1"/>
    <xf numFmtId="9" fontId="14" fillId="0" borderId="0" xfId="0" applyNumberFormat="1" applyFont="1" applyFill="1" applyBorder="1"/>
    <xf numFmtId="167" fontId="14" fillId="0" borderId="0" xfId="2" applyNumberFormat="1" applyFont="1" applyFill="1" applyBorder="1" applyAlignment="1">
      <alignment horizontal="right"/>
    </xf>
    <xf numFmtId="0" fontId="13" fillId="0" borderId="6" xfId="0" applyFont="1" applyFill="1" applyBorder="1"/>
    <xf numFmtId="0" fontId="14" fillId="0" borderId="10" xfId="0" applyFont="1" applyFill="1" applyBorder="1"/>
    <xf numFmtId="0" fontId="14" fillId="0" borderId="11" xfId="0" applyFont="1" applyFill="1" applyBorder="1"/>
    <xf numFmtId="0" fontId="14" fillId="0" borderId="12" xfId="0" applyFont="1" applyFill="1" applyBorder="1"/>
    <xf numFmtId="172" fontId="19" fillId="0" borderId="0" xfId="0" applyNumberFormat="1" applyFont="1" applyFill="1" applyBorder="1" applyAlignment="1" applyProtection="1">
      <alignment horizontal="left"/>
    </xf>
    <xf numFmtId="172" fontId="14" fillId="0" borderId="0" xfId="0" applyNumberFormat="1" applyFont="1" applyFill="1" applyBorder="1" applyAlignment="1" applyProtection="1">
      <alignment wrapText="1"/>
    </xf>
    <xf numFmtId="172" fontId="14" fillId="0" borderId="0" xfId="0" applyNumberFormat="1" applyFont="1" applyFill="1" applyBorder="1" applyAlignment="1" applyProtection="1">
      <alignment horizontal="left" wrapText="1"/>
    </xf>
    <xf numFmtId="0" fontId="14" fillId="0" borderId="13" xfId="0" applyFont="1" applyFill="1" applyBorder="1" applyAlignment="1">
      <alignment wrapText="1"/>
    </xf>
    <xf numFmtId="172" fontId="19" fillId="0" borderId="0" xfId="0" applyNumberFormat="1" applyFont="1" applyFill="1" applyBorder="1" applyProtection="1"/>
    <xf numFmtId="2" fontId="19" fillId="0" borderId="0" xfId="0" applyNumberFormat="1" applyFont="1" applyFill="1" applyBorder="1"/>
    <xf numFmtId="1" fontId="19" fillId="0" borderId="0" xfId="0" applyNumberFormat="1" applyFont="1" applyFill="1" applyBorder="1" applyProtection="1"/>
    <xf numFmtId="9" fontId="19" fillId="0" borderId="0" xfId="0" applyNumberFormat="1" applyFont="1" applyFill="1" applyBorder="1" applyAlignment="1" applyProtection="1">
      <alignment horizontal="center"/>
    </xf>
    <xf numFmtId="2" fontId="19" fillId="0" borderId="13" xfId="0" applyNumberFormat="1" applyFont="1" applyFill="1" applyBorder="1" applyAlignment="1" applyProtection="1">
      <alignment horizontal="center"/>
    </xf>
    <xf numFmtId="0" fontId="19" fillId="0" borderId="0" xfId="0" applyFont="1" applyFill="1" applyBorder="1"/>
    <xf numFmtId="9" fontId="19" fillId="0" borderId="0" xfId="0" applyNumberFormat="1" applyFont="1" applyFill="1" applyBorder="1" applyAlignment="1">
      <alignment horizontal="center"/>
    </xf>
    <xf numFmtId="167" fontId="19" fillId="0" borderId="0" xfId="0" applyNumberFormat="1" applyFont="1" applyFill="1" applyBorder="1" applyAlignment="1" applyProtection="1">
      <alignment horizontal="center"/>
    </xf>
    <xf numFmtId="167" fontId="19" fillId="0" borderId="13" xfId="0" applyNumberFormat="1" applyFont="1" applyFill="1" applyBorder="1" applyAlignment="1" applyProtection="1">
      <alignment horizontal="center"/>
    </xf>
    <xf numFmtId="0" fontId="15" fillId="0" borderId="13" xfId="0" applyFont="1" applyFill="1" applyBorder="1" applyAlignment="1">
      <alignment horizontal="center"/>
    </xf>
    <xf numFmtId="172" fontId="19" fillId="0" borderId="0" xfId="0" applyNumberFormat="1" applyFont="1" applyFill="1" applyBorder="1" applyAlignment="1" applyProtection="1">
      <alignment horizontal="left" wrapText="1"/>
    </xf>
    <xf numFmtId="172" fontId="19" fillId="0" borderId="14" xfId="0" applyNumberFormat="1" applyFont="1" applyFill="1" applyBorder="1" applyProtection="1"/>
    <xf numFmtId="172" fontId="19" fillId="0" borderId="13" xfId="0" applyNumberFormat="1" applyFont="1" applyFill="1" applyBorder="1" applyProtection="1"/>
    <xf numFmtId="0" fontId="14" fillId="0" borderId="13" xfId="0" applyFont="1" applyFill="1" applyBorder="1"/>
    <xf numFmtId="0" fontId="14" fillId="0" borderId="3" xfId="0" applyFont="1" applyFill="1" applyBorder="1"/>
    <xf numFmtId="0" fontId="14" fillId="0" borderId="15" xfId="0" applyFont="1" applyFill="1" applyBorder="1"/>
    <xf numFmtId="0" fontId="14" fillId="0" borderId="16" xfId="0" applyFont="1" applyFill="1" applyBorder="1"/>
    <xf numFmtId="9" fontId="13" fillId="0" borderId="0" xfId="2" applyFont="1" applyFill="1" applyBorder="1"/>
    <xf numFmtId="10" fontId="13" fillId="0" borderId="0" xfId="2" applyNumberFormat="1" applyFont="1" applyFill="1" applyBorder="1"/>
    <xf numFmtId="167" fontId="13" fillId="0" borderId="0" xfId="2" applyNumberFormat="1" applyFont="1" applyFill="1" applyBorder="1"/>
    <xf numFmtId="167" fontId="13" fillId="0" borderId="0" xfId="0" applyNumberFormat="1" applyFont="1" applyFill="1" applyBorder="1"/>
    <xf numFmtId="10" fontId="13" fillId="0" borderId="0" xfId="0" applyNumberFormat="1" applyFont="1" applyFill="1" applyBorder="1"/>
    <xf numFmtId="9" fontId="0" fillId="0" borderId="7" xfId="2" applyFont="1" applyBorder="1"/>
    <xf numFmtId="0" fontId="2" fillId="0" borderId="4" xfId="0" applyFont="1" applyFill="1" applyBorder="1" applyAlignment="1">
      <alignment horizontal="center"/>
    </xf>
    <xf numFmtId="3" fontId="19" fillId="0" borderId="0" xfId="0" applyNumberFormat="1" applyFont="1" applyFill="1" applyBorder="1" applyProtection="1"/>
    <xf numFmtId="3" fontId="19" fillId="0" borderId="0" xfId="0" applyNumberFormat="1" applyFont="1" applyFill="1" applyBorder="1"/>
  </cellXfs>
  <cellStyles count="4">
    <cellStyle name="Comma [0]" xfId="1" builtinId="6"/>
    <cellStyle name="Normal" xfId="0" builtinId="0"/>
    <cellStyle name="Normal_Volume" xfId="3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7"/>
  <sheetViews>
    <sheetView tabSelected="1" workbookViewId="0">
      <selection activeCell="H10" sqref="H10"/>
    </sheetView>
  </sheetViews>
  <sheetFormatPr defaultRowHeight="15"/>
  <cols>
    <col min="1" max="1" width="54.85546875" bestFit="1" customWidth="1"/>
  </cols>
  <sheetData>
    <row r="1" spans="1:8">
      <c r="A1" s="44" t="s">
        <v>65</v>
      </c>
      <c r="B1" s="44"/>
      <c r="C1" s="44"/>
      <c r="D1" s="45"/>
      <c r="E1" s="45"/>
      <c r="F1" s="45"/>
      <c r="G1" s="45"/>
      <c r="H1" s="45"/>
    </row>
    <row r="2" spans="1:8">
      <c r="A2" s="45"/>
      <c r="B2" s="44"/>
      <c r="C2" s="44"/>
      <c r="D2" s="45"/>
      <c r="E2" s="45"/>
      <c r="F2" s="45"/>
      <c r="G2" s="45"/>
      <c r="H2" s="45"/>
    </row>
    <row r="3" spans="1:8">
      <c r="A3" s="44" t="s">
        <v>25</v>
      </c>
      <c r="B3" s="45"/>
      <c r="C3" s="45"/>
      <c r="D3" s="45"/>
      <c r="E3" s="45"/>
      <c r="F3" s="45"/>
      <c r="G3" s="45"/>
      <c r="H3" s="45"/>
    </row>
    <row r="4" spans="1:8">
      <c r="A4" s="46"/>
      <c r="B4" s="46"/>
      <c r="C4" s="46"/>
      <c r="D4" s="47">
        <v>2025</v>
      </c>
      <c r="E4" s="47">
        <v>2026</v>
      </c>
      <c r="F4" s="47">
        <v>2027</v>
      </c>
      <c r="G4" s="47">
        <v>2028</v>
      </c>
      <c r="H4" s="47">
        <v>2029</v>
      </c>
    </row>
    <row r="5" spans="1:8">
      <c r="A5" s="45"/>
      <c r="B5" s="45"/>
      <c r="C5" s="45"/>
      <c r="D5" s="48" t="s">
        <v>6</v>
      </c>
      <c r="E5" s="48" t="s">
        <v>6</v>
      </c>
      <c r="F5" s="48" t="s">
        <v>6</v>
      </c>
      <c r="G5" s="48" t="s">
        <v>6</v>
      </c>
      <c r="H5" s="48" t="s">
        <v>6</v>
      </c>
    </row>
    <row r="6" spans="1:8">
      <c r="A6" s="45" t="s">
        <v>26</v>
      </c>
      <c r="B6" s="45"/>
      <c r="C6" s="45"/>
      <c r="D6" s="49">
        <v>2.5000000000000001E-2</v>
      </c>
      <c r="E6" s="49">
        <v>2.5000000000000001E-2</v>
      </c>
      <c r="F6" s="49">
        <v>0.02</v>
      </c>
      <c r="G6" s="49">
        <v>0.02</v>
      </c>
      <c r="H6" s="49">
        <v>0.02</v>
      </c>
    </row>
    <row r="7" spans="1:8">
      <c r="A7" s="45" t="s">
        <v>31</v>
      </c>
      <c r="B7" s="45"/>
      <c r="C7" s="45"/>
      <c r="D7" s="50">
        <f>D6+D8</f>
        <v>3.5000000000000003E-2</v>
      </c>
      <c r="E7" s="50">
        <f>E6+E8</f>
        <v>3.5000000000000003E-2</v>
      </c>
      <c r="F7" s="50">
        <f>F6+F8</f>
        <v>0.03</v>
      </c>
      <c r="G7" s="50">
        <f>G6+G8</f>
        <v>0.03</v>
      </c>
      <c r="H7" s="50">
        <f>H6+H8</f>
        <v>0.03</v>
      </c>
    </row>
    <row r="8" spans="1:8">
      <c r="A8" s="45" t="s">
        <v>30</v>
      </c>
      <c r="B8" s="45"/>
      <c r="C8" s="45"/>
      <c r="D8" s="49">
        <v>0.01</v>
      </c>
      <c r="E8" s="49">
        <v>0.01</v>
      </c>
      <c r="F8" s="49">
        <v>0.01</v>
      </c>
      <c r="G8" s="49">
        <v>0.01</v>
      </c>
      <c r="H8" s="49">
        <v>0.01</v>
      </c>
    </row>
    <row r="9" spans="1:8">
      <c r="A9" s="45" t="s">
        <v>27</v>
      </c>
      <c r="B9" s="45"/>
      <c r="C9" s="45"/>
      <c r="D9" s="49">
        <v>6.6000000000000003E-2</v>
      </c>
      <c r="E9" s="51">
        <f>6.6%</f>
        <v>6.6000000000000003E-2</v>
      </c>
      <c r="F9" s="49">
        <f>E9</f>
        <v>6.6000000000000003E-2</v>
      </c>
      <c r="G9" s="49">
        <f t="shared" ref="G9:H9" si="0">F9</f>
        <v>6.6000000000000003E-2</v>
      </c>
      <c r="H9" s="49">
        <f t="shared" si="0"/>
        <v>6.6000000000000003E-2</v>
      </c>
    </row>
    <row r="10" spans="1:8">
      <c r="A10" s="45" t="s">
        <v>28</v>
      </c>
      <c r="B10" s="52"/>
      <c r="C10" s="45"/>
      <c r="D10" s="53">
        <f>D75*(1+(1-D57)*(D32/D31))</f>
        <v>0.94617777966853212</v>
      </c>
      <c r="E10" s="53">
        <f>E75*(1+(1-E57)*(E32/E31))</f>
        <v>0.92339415172559913</v>
      </c>
      <c r="F10" s="53">
        <f>F75*(1+(1-F57)*(F32/F31))</f>
        <v>0.9026817626865693</v>
      </c>
      <c r="G10" s="53">
        <f>G75*(1+(1-G57)*(G32/G31))</f>
        <v>0.88377045095528106</v>
      </c>
      <c r="H10" s="53">
        <f>H75*(1+(1-H57)*(H32/H31))</f>
        <v>0.86643508186826679</v>
      </c>
    </row>
    <row r="11" spans="1:8">
      <c r="A11" s="45" t="s">
        <v>29</v>
      </c>
      <c r="B11" s="45"/>
      <c r="C11" s="45"/>
      <c r="D11" s="50">
        <f>D9*D10</f>
        <v>6.2447733458123121E-2</v>
      </c>
      <c r="E11" s="50">
        <f>E9*E10</f>
        <v>6.0944014013889547E-2</v>
      </c>
      <c r="F11" s="50">
        <f>F9*F10</f>
        <v>5.957699633731358E-2</v>
      </c>
      <c r="G11" s="50">
        <f>G9*G10</f>
        <v>5.832884976304855E-2</v>
      </c>
      <c r="H11" s="50">
        <f>H9*H10</f>
        <v>5.7184715403305608E-2</v>
      </c>
    </row>
    <row r="12" spans="1:8">
      <c r="A12" s="45"/>
      <c r="B12" s="52"/>
      <c r="C12" s="45"/>
      <c r="D12" s="49"/>
      <c r="E12" s="49"/>
      <c r="F12" s="49"/>
      <c r="G12" s="49"/>
      <c r="H12" s="49"/>
    </row>
    <row r="13" spans="1:8">
      <c r="A13" s="45"/>
      <c r="B13" s="45"/>
      <c r="C13" s="45"/>
      <c r="D13" s="45"/>
      <c r="E13" s="45"/>
      <c r="F13" s="45"/>
      <c r="G13" s="45"/>
      <c r="H13" s="45"/>
    </row>
    <row r="14" spans="1:8">
      <c r="A14" s="45"/>
      <c r="B14" s="52"/>
      <c r="C14" s="45"/>
      <c r="D14" s="49"/>
      <c r="E14" s="49"/>
      <c r="F14" s="49"/>
      <c r="G14" s="49"/>
      <c r="H14" s="49"/>
    </row>
    <row r="15" spans="1:8">
      <c r="A15" s="45" t="s">
        <v>32</v>
      </c>
      <c r="B15" s="52"/>
      <c r="C15" s="45"/>
      <c r="D15" s="54">
        <f>D50+D51</f>
        <v>9.7447733458123131E-2</v>
      </c>
      <c r="E15" s="54">
        <f>E50+E51</f>
        <v>9.594401401388955E-2</v>
      </c>
      <c r="F15" s="54">
        <f>F50+F51</f>
        <v>8.9576996337313586E-2</v>
      </c>
      <c r="G15" s="54">
        <f>G50+G51</f>
        <v>8.8328849763048556E-2</v>
      </c>
      <c r="H15" s="54">
        <f>H50+H51</f>
        <v>8.7184715403305607E-2</v>
      </c>
    </row>
    <row r="16" spans="1:8">
      <c r="A16" s="45"/>
      <c r="B16" s="52"/>
      <c r="C16" s="45"/>
      <c r="D16" s="50"/>
      <c r="E16" s="45"/>
      <c r="F16" s="50"/>
      <c r="G16" s="50"/>
      <c r="H16" s="50"/>
    </row>
    <row r="17" spans="1:8">
      <c r="A17" s="45" t="s">
        <v>33</v>
      </c>
      <c r="B17" s="45"/>
      <c r="C17" s="45"/>
      <c r="D17" s="49">
        <v>0.05</v>
      </c>
      <c r="E17" s="49">
        <v>0.05</v>
      </c>
      <c r="F17" s="49">
        <v>0.05</v>
      </c>
      <c r="G17" s="49">
        <v>0.05</v>
      </c>
      <c r="H17" s="49">
        <v>0.05</v>
      </c>
    </row>
    <row r="18" spans="1:8">
      <c r="A18" s="45" t="s">
        <v>34</v>
      </c>
      <c r="B18" s="45"/>
      <c r="C18" s="45"/>
      <c r="D18" s="50">
        <f>D17-D6</f>
        <v>2.5000000000000001E-2</v>
      </c>
      <c r="E18" s="50">
        <f>E17-E6</f>
        <v>2.5000000000000001E-2</v>
      </c>
      <c r="F18" s="50">
        <f>F17-F6</f>
        <v>3.0000000000000002E-2</v>
      </c>
      <c r="G18" s="50">
        <f>G17-G6</f>
        <v>3.0000000000000002E-2</v>
      </c>
      <c r="H18" s="50">
        <f>H17-H6</f>
        <v>3.0000000000000002E-2</v>
      </c>
    </row>
    <row r="19" spans="1:8">
      <c r="A19" s="45" t="s">
        <v>35</v>
      </c>
      <c r="B19" s="45"/>
      <c r="C19" s="45"/>
      <c r="D19" s="50">
        <v>0.1</v>
      </c>
      <c r="E19" s="50">
        <f>D19</f>
        <v>0.1</v>
      </c>
      <c r="F19" s="50">
        <f t="shared" ref="F19:H19" si="1">E19</f>
        <v>0.1</v>
      </c>
      <c r="G19" s="50">
        <f t="shared" si="1"/>
        <v>0.1</v>
      </c>
      <c r="H19" s="50">
        <f t="shared" si="1"/>
        <v>0.1</v>
      </c>
    </row>
    <row r="20" spans="1:8">
      <c r="A20" s="45" t="s">
        <v>36</v>
      </c>
      <c r="B20" s="45"/>
      <c r="C20" s="45"/>
      <c r="D20" s="49">
        <v>0.04</v>
      </c>
      <c r="E20" s="49">
        <v>0.04</v>
      </c>
      <c r="F20" s="49">
        <v>0.04</v>
      </c>
      <c r="G20" s="49">
        <v>0.04</v>
      </c>
      <c r="H20" s="49">
        <v>0.04</v>
      </c>
    </row>
    <row r="21" spans="1:8">
      <c r="A21" s="45" t="s">
        <v>37</v>
      </c>
      <c r="B21" s="45"/>
      <c r="C21" s="45"/>
      <c r="D21" s="50">
        <f>D20-D6</f>
        <v>1.4999999999999999E-2</v>
      </c>
      <c r="E21" s="50">
        <f>E20-E6</f>
        <v>1.4999999999999999E-2</v>
      </c>
      <c r="F21" s="50">
        <f>F20-F6</f>
        <v>0.02</v>
      </c>
      <c r="G21" s="50">
        <f>G20-G6</f>
        <v>0.02</v>
      </c>
      <c r="H21" s="50">
        <f>H20-H6</f>
        <v>0.02</v>
      </c>
    </row>
    <row r="22" spans="1:8">
      <c r="A22" s="45" t="s">
        <v>38</v>
      </c>
      <c r="B22" s="45"/>
      <c r="C22" s="45"/>
      <c r="D22" s="55">
        <f>100%-D19</f>
        <v>0.9</v>
      </c>
      <c r="E22" s="50">
        <f>D22</f>
        <v>0.9</v>
      </c>
      <c r="F22" s="50">
        <f t="shared" ref="F22:H22" si="2">E22</f>
        <v>0.9</v>
      </c>
      <c r="G22" s="50">
        <f t="shared" si="2"/>
        <v>0.9</v>
      </c>
      <c r="H22" s="50">
        <f t="shared" si="2"/>
        <v>0.9</v>
      </c>
    </row>
    <row r="23" spans="1:8">
      <c r="A23" s="56" t="s">
        <v>39</v>
      </c>
      <c r="B23" s="56"/>
      <c r="C23" s="56"/>
      <c r="D23" s="57">
        <f>D17*D19+D20*D22</f>
        <v>4.1000000000000009E-2</v>
      </c>
      <c r="E23" s="57">
        <f t="shared" ref="E23:H23" si="3">E17*E19+E20*E22</f>
        <v>4.1000000000000009E-2</v>
      </c>
      <c r="F23" s="57">
        <f t="shared" si="3"/>
        <v>4.1000000000000009E-2</v>
      </c>
      <c r="G23" s="57">
        <f t="shared" si="3"/>
        <v>4.1000000000000009E-2</v>
      </c>
      <c r="H23" s="57">
        <f t="shared" si="3"/>
        <v>4.1000000000000009E-2</v>
      </c>
    </row>
    <row r="24" spans="1:8">
      <c r="A24" s="56"/>
      <c r="B24" s="56"/>
      <c r="C24" s="56"/>
      <c r="D24" s="55"/>
      <c r="E24" s="55"/>
      <c r="F24" s="55"/>
      <c r="G24" s="55"/>
      <c r="H24" s="55"/>
    </row>
    <row r="25" spans="1:8">
      <c r="A25" s="58" t="str">
        <f>A61</f>
        <v>Weighted Average Cost of Capital   (1)+(2)</v>
      </c>
      <c r="B25" s="58"/>
      <c r="C25" s="58"/>
      <c r="D25" s="58">
        <f>D61</f>
        <v>7.5117005935524991E-2</v>
      </c>
      <c r="E25" s="58">
        <f>E61</f>
        <v>7.6198758062319322E-2</v>
      </c>
      <c r="F25" s="58">
        <f>F61</f>
        <v>7.346875584209997E-2</v>
      </c>
      <c r="G25" s="58">
        <f>G61</f>
        <v>7.4375163916243311E-2</v>
      </c>
      <c r="H25" s="58">
        <f>H61</f>
        <v>7.5266209141672369E-2</v>
      </c>
    </row>
    <row r="26" spans="1:8">
      <c r="A26" s="59"/>
      <c r="B26" s="45"/>
      <c r="C26" s="45"/>
      <c r="D26" s="45"/>
      <c r="E26" s="50"/>
      <c r="F26" s="50"/>
      <c r="G26" s="50"/>
      <c r="H26" s="50"/>
    </row>
    <row r="27" spans="1:8">
      <c r="A27" s="44" t="s">
        <v>40</v>
      </c>
      <c r="B27" s="44"/>
      <c r="C27" s="44"/>
      <c r="D27" s="60"/>
      <c r="E27" s="60"/>
      <c r="F27" s="60"/>
      <c r="G27" s="60"/>
      <c r="H27" s="60"/>
    </row>
    <row r="28" spans="1:8">
      <c r="A28" s="61" t="s">
        <v>41</v>
      </c>
      <c r="B28" s="45"/>
      <c r="C28" s="45"/>
      <c r="D28" s="45"/>
      <c r="E28" s="50"/>
      <c r="F28" s="50"/>
      <c r="G28" s="50"/>
      <c r="H28" s="50"/>
    </row>
    <row r="29" spans="1:8">
      <c r="A29" s="46"/>
      <c r="B29" s="46"/>
      <c r="C29" s="46"/>
      <c r="D29" s="47">
        <f>D4</f>
        <v>2025</v>
      </c>
      <c r="E29" s="47">
        <f>E4</f>
        <v>2026</v>
      </c>
      <c r="F29" s="47">
        <f>F4</f>
        <v>2027</v>
      </c>
      <c r="G29" s="47">
        <f>G4</f>
        <v>2028</v>
      </c>
      <c r="H29" s="47">
        <f>H4</f>
        <v>2029</v>
      </c>
    </row>
    <row r="30" spans="1:8">
      <c r="A30" s="45"/>
      <c r="B30" s="45" t="s">
        <v>7</v>
      </c>
      <c r="C30" s="62"/>
      <c r="D30" s="63" t="s">
        <v>6</v>
      </c>
      <c r="E30" s="63" t="s">
        <v>6</v>
      </c>
      <c r="F30" s="63" t="s">
        <v>6</v>
      </c>
      <c r="G30" s="63" t="s">
        <v>6</v>
      </c>
      <c r="H30" s="63" t="s">
        <v>6</v>
      </c>
    </row>
    <row r="31" spans="1:8">
      <c r="A31" s="64" t="s">
        <v>42</v>
      </c>
      <c r="B31" s="64"/>
      <c r="C31" s="64"/>
      <c r="D31" s="65">
        <v>4000000</v>
      </c>
      <c r="E31" s="65">
        <f>D31+200000</f>
        <v>4200000</v>
      </c>
      <c r="F31" s="65">
        <f>E31+200000</f>
        <v>4400000</v>
      </c>
      <c r="G31" s="65">
        <f>F31+200000</f>
        <v>4600000</v>
      </c>
      <c r="H31" s="65">
        <f>G31+200000</f>
        <v>4800000</v>
      </c>
    </row>
    <row r="32" spans="1:8">
      <c r="A32" s="64" t="s">
        <v>43</v>
      </c>
      <c r="B32" s="64"/>
      <c r="C32" s="64"/>
      <c r="D32" s="65">
        <v>1200000</v>
      </c>
      <c r="E32" s="65">
        <f>D32-100000</f>
        <v>1100000</v>
      </c>
      <c r="F32" s="65">
        <f>E32-100000</f>
        <v>1000000</v>
      </c>
      <c r="G32" s="65">
        <f>F32-100000</f>
        <v>900000</v>
      </c>
      <c r="H32" s="65">
        <f>G32-100000</f>
        <v>800000</v>
      </c>
    </row>
    <row r="33" spans="1:8">
      <c r="A33" s="64" t="s">
        <v>70</v>
      </c>
      <c r="B33" s="64"/>
      <c r="C33" s="64"/>
      <c r="D33" s="65">
        <v>500000</v>
      </c>
      <c r="E33" s="65">
        <v>450000</v>
      </c>
      <c r="F33" s="65">
        <v>400000</v>
      </c>
      <c r="G33" s="65">
        <v>350000</v>
      </c>
      <c r="H33" s="65">
        <v>300000</v>
      </c>
    </row>
    <row r="34" spans="1:8">
      <c r="A34" s="64"/>
      <c r="B34" s="64"/>
      <c r="C34" s="64"/>
      <c r="D34" s="66" t="s">
        <v>6</v>
      </c>
      <c r="E34" s="66" t="s">
        <v>6</v>
      </c>
      <c r="F34" s="66" t="s">
        <v>6</v>
      </c>
      <c r="G34" s="66" t="s">
        <v>6</v>
      </c>
      <c r="H34" s="66" t="s">
        <v>6</v>
      </c>
    </row>
    <row r="35" spans="1:8">
      <c r="A35" s="64" t="s">
        <v>44</v>
      </c>
      <c r="B35" s="64"/>
      <c r="C35" s="64"/>
      <c r="D35" s="65">
        <f>SUM(D31:D33)</f>
        <v>5700000</v>
      </c>
      <c r="E35" s="65">
        <f>SUM(E31:E33)</f>
        <v>5750000</v>
      </c>
      <c r="F35" s="65">
        <f>SUM(F31:F33)</f>
        <v>5800000</v>
      </c>
      <c r="G35" s="65">
        <f>SUM(G31:G33)</f>
        <v>5850000</v>
      </c>
      <c r="H35" s="65">
        <f>SUM(H31:H33)</f>
        <v>5900000</v>
      </c>
    </row>
    <row r="36" spans="1:8">
      <c r="A36" s="45"/>
      <c r="B36" s="45"/>
      <c r="C36" s="45"/>
      <c r="D36" s="48" t="s">
        <v>8</v>
      </c>
      <c r="E36" s="48" t="s">
        <v>8</v>
      </c>
      <c r="F36" s="48" t="s">
        <v>8</v>
      </c>
      <c r="G36" s="48" t="s">
        <v>8</v>
      </c>
      <c r="H36" s="48" t="s">
        <v>8</v>
      </c>
    </row>
    <row r="37" spans="1:8">
      <c r="A37" s="64" t="s">
        <v>45</v>
      </c>
      <c r="B37" s="45"/>
      <c r="C37" s="56"/>
      <c r="D37" s="56">
        <f>D31/D35</f>
        <v>0.70175438596491224</v>
      </c>
      <c r="E37" s="56">
        <f>E31/E35</f>
        <v>0.73043478260869565</v>
      </c>
      <c r="F37" s="56">
        <f>F31/F35</f>
        <v>0.75862068965517238</v>
      </c>
      <c r="G37" s="56">
        <f>G31/G35</f>
        <v>0.78632478632478631</v>
      </c>
      <c r="H37" s="56">
        <f>H31/H35</f>
        <v>0.81355932203389836</v>
      </c>
    </row>
    <row r="38" spans="1:8">
      <c r="A38" s="64" t="s">
        <v>46</v>
      </c>
      <c r="B38" s="45"/>
      <c r="C38" s="56"/>
      <c r="D38" s="56">
        <f>D32/D35</f>
        <v>0.21052631578947367</v>
      </c>
      <c r="E38" s="56">
        <f>E32/E35</f>
        <v>0.19130434782608696</v>
      </c>
      <c r="F38" s="56">
        <f>F32/F35</f>
        <v>0.17241379310344829</v>
      </c>
      <c r="G38" s="56">
        <f>G32/G35</f>
        <v>0.15384615384615385</v>
      </c>
      <c r="H38" s="56">
        <f>H32/H35</f>
        <v>0.13559322033898305</v>
      </c>
    </row>
    <row r="39" spans="1:8">
      <c r="A39" s="64" t="s">
        <v>47</v>
      </c>
      <c r="B39" s="45"/>
      <c r="C39" s="56"/>
      <c r="D39" s="56">
        <f>D33/D35</f>
        <v>8.771929824561403E-2</v>
      </c>
      <c r="E39" s="56">
        <f>E33/E35</f>
        <v>7.8260869565217397E-2</v>
      </c>
      <c r="F39" s="56">
        <f>F33/F35</f>
        <v>6.8965517241379309E-2</v>
      </c>
      <c r="G39" s="56">
        <f>G33/G35</f>
        <v>5.9829059829059832E-2</v>
      </c>
      <c r="H39" s="56">
        <f>H33/H35</f>
        <v>5.0847457627118647E-2</v>
      </c>
    </row>
    <row r="40" spans="1:8">
      <c r="A40" s="45"/>
      <c r="B40" s="45"/>
      <c r="C40" s="56"/>
      <c r="D40" s="63" t="s">
        <v>6</v>
      </c>
      <c r="E40" s="63" t="s">
        <v>6</v>
      </c>
      <c r="F40" s="63" t="s">
        <v>6</v>
      </c>
      <c r="G40" s="63" t="s">
        <v>6</v>
      </c>
      <c r="H40" s="63" t="s">
        <v>6</v>
      </c>
    </row>
    <row r="41" spans="1:8">
      <c r="A41" s="64" t="s">
        <v>48</v>
      </c>
      <c r="B41" s="45"/>
      <c r="C41" s="56"/>
      <c r="D41" s="56">
        <f>SUM(D37:D39)</f>
        <v>1</v>
      </c>
      <c r="E41" s="56">
        <f>SUM(E37:E39)</f>
        <v>1</v>
      </c>
      <c r="F41" s="56">
        <f>SUM(F37:F39)</f>
        <v>1</v>
      </c>
      <c r="G41" s="56">
        <f>SUM(G37:G39)</f>
        <v>1</v>
      </c>
      <c r="H41" s="56">
        <f>SUM(H37:H39)</f>
        <v>1</v>
      </c>
    </row>
    <row r="42" spans="1:8">
      <c r="A42" s="45"/>
      <c r="B42" s="45"/>
      <c r="C42" s="45"/>
      <c r="D42" s="48" t="s">
        <v>8</v>
      </c>
      <c r="E42" s="48" t="s">
        <v>8</v>
      </c>
      <c r="F42" s="48" t="s">
        <v>8</v>
      </c>
      <c r="G42" s="48" t="s">
        <v>8</v>
      </c>
      <c r="H42" s="48" t="s">
        <v>8</v>
      </c>
    </row>
    <row r="43" spans="1:8">
      <c r="A43" s="59"/>
      <c r="B43" s="45"/>
      <c r="C43" s="67"/>
      <c r="D43" s="56"/>
      <c r="E43" s="45"/>
      <c r="F43" s="45"/>
      <c r="G43" s="45"/>
      <c r="H43" s="45"/>
    </row>
    <row r="44" spans="1:8">
      <c r="A44" s="45"/>
      <c r="B44" s="45"/>
      <c r="C44" s="67"/>
      <c r="D44" s="56"/>
      <c r="E44" s="45"/>
      <c r="F44" s="45"/>
      <c r="G44" s="45"/>
      <c r="H44" s="45"/>
    </row>
    <row r="45" spans="1:8">
      <c r="A45" s="44" t="s">
        <v>49</v>
      </c>
      <c r="B45" s="45"/>
      <c r="C45" s="45"/>
      <c r="D45" s="45"/>
      <c r="E45" s="45"/>
      <c r="F45" s="45"/>
      <c r="G45" s="45"/>
      <c r="H45" s="45"/>
    </row>
    <row r="46" spans="1:8">
      <c r="A46" s="45"/>
      <c r="B46" s="45"/>
      <c r="C46" s="45"/>
      <c r="D46" s="45"/>
      <c r="E46" s="45"/>
      <c r="F46" s="45"/>
      <c r="G46" s="45"/>
      <c r="H46" s="45"/>
    </row>
    <row r="47" spans="1:8">
      <c r="A47" s="46"/>
      <c r="B47" s="46"/>
      <c r="C47" s="46"/>
      <c r="D47" s="47">
        <f>D4</f>
        <v>2025</v>
      </c>
      <c r="E47" s="47">
        <f>E4</f>
        <v>2026</v>
      </c>
      <c r="F47" s="47">
        <f>F4</f>
        <v>2027</v>
      </c>
      <c r="G47" s="47">
        <f>G4</f>
        <v>2028</v>
      </c>
      <c r="H47" s="47">
        <f>H4</f>
        <v>2029</v>
      </c>
    </row>
    <row r="48" spans="1:8">
      <c r="A48" s="45"/>
      <c r="B48" s="45"/>
      <c r="C48" s="45"/>
      <c r="D48" s="63" t="s">
        <v>6</v>
      </c>
      <c r="E48" s="63" t="s">
        <v>6</v>
      </c>
      <c r="F48" s="63" t="s">
        <v>6</v>
      </c>
      <c r="G48" s="63" t="s">
        <v>6</v>
      </c>
      <c r="H48" s="45" t="s">
        <v>9</v>
      </c>
    </row>
    <row r="49" spans="1:8">
      <c r="A49" s="45" t="s">
        <v>50</v>
      </c>
      <c r="B49" s="45"/>
      <c r="C49" s="68"/>
      <c r="D49" s="68">
        <f>D37</f>
        <v>0.70175438596491224</v>
      </c>
      <c r="E49" s="68">
        <f>E37</f>
        <v>0.73043478260869565</v>
      </c>
      <c r="F49" s="68">
        <f>F37</f>
        <v>0.75862068965517238</v>
      </c>
      <c r="G49" s="68">
        <f>G37</f>
        <v>0.78632478632478631</v>
      </c>
      <c r="H49" s="68">
        <f>H37</f>
        <v>0.81355932203389836</v>
      </c>
    </row>
    <row r="50" spans="1:8">
      <c r="A50" s="55" t="s">
        <v>51</v>
      </c>
      <c r="B50" s="55"/>
      <c r="C50" s="69"/>
      <c r="D50" s="69">
        <f>D7</f>
        <v>3.5000000000000003E-2</v>
      </c>
      <c r="E50" s="69">
        <f>E7</f>
        <v>3.5000000000000003E-2</v>
      </c>
      <c r="F50" s="69">
        <f>F7</f>
        <v>0.03</v>
      </c>
      <c r="G50" s="69">
        <f>G7</f>
        <v>0.03</v>
      </c>
      <c r="H50" s="69">
        <f>H7</f>
        <v>0.03</v>
      </c>
    </row>
    <row r="51" spans="1:8">
      <c r="A51" s="55" t="s">
        <v>29</v>
      </c>
      <c r="B51" s="55"/>
      <c r="C51" s="69"/>
      <c r="D51" s="69">
        <f>D11</f>
        <v>6.2447733458123121E-2</v>
      </c>
      <c r="E51" s="69">
        <f>E11</f>
        <v>6.0944014013889547E-2</v>
      </c>
      <c r="F51" s="69">
        <f>F11</f>
        <v>5.957699633731358E-2</v>
      </c>
      <c r="G51" s="69">
        <f>G11</f>
        <v>5.832884976304855E-2</v>
      </c>
      <c r="H51" s="69">
        <f>H11</f>
        <v>5.7184715403305608E-2</v>
      </c>
    </row>
    <row r="52" spans="1:8">
      <c r="A52" s="55"/>
      <c r="B52" s="55"/>
      <c r="C52" s="69"/>
      <c r="D52" s="63" t="s">
        <v>6</v>
      </c>
      <c r="E52" s="63" t="s">
        <v>6</v>
      </c>
      <c r="F52" s="63" t="s">
        <v>6</v>
      </c>
      <c r="G52" s="63" t="s">
        <v>6</v>
      </c>
      <c r="H52" s="45" t="s">
        <v>9</v>
      </c>
    </row>
    <row r="53" spans="1:8">
      <c r="A53" s="44" t="s">
        <v>52</v>
      </c>
      <c r="B53" s="44"/>
      <c r="C53" s="97"/>
      <c r="D53" s="96">
        <f>D49*(D50+D51)</f>
        <v>6.8384374356577626E-2</v>
      </c>
      <c r="E53" s="96">
        <f>E49*(E50+E51)</f>
        <v>7.0080845018841056E-2</v>
      </c>
      <c r="F53" s="96">
        <f>F49*(F50+F51)</f>
        <v>6.7954962738651689E-2</v>
      </c>
      <c r="G53" s="96">
        <f>G49*(G50+G51)</f>
        <v>6.9455163916243304E-2</v>
      </c>
      <c r="H53" s="96">
        <f>H49*(H50+H51)</f>
        <v>7.0929937955231684E-2</v>
      </c>
    </row>
    <row r="54" spans="1:8">
      <c r="A54" s="45"/>
      <c r="B54" s="45"/>
      <c r="C54" s="45"/>
      <c r="D54" s="45"/>
      <c r="E54" s="45"/>
      <c r="F54" s="45"/>
      <c r="G54" s="45"/>
      <c r="H54" s="45"/>
    </row>
    <row r="55" spans="1:8">
      <c r="A55" s="45" t="s">
        <v>53</v>
      </c>
      <c r="B55" s="45"/>
      <c r="C55" s="68"/>
      <c r="D55" s="68">
        <f>D38</f>
        <v>0.21052631578947367</v>
      </c>
      <c r="E55" s="68">
        <f>E38</f>
        <v>0.19130434782608696</v>
      </c>
      <c r="F55" s="68">
        <f>F38</f>
        <v>0.17241379310344829</v>
      </c>
      <c r="G55" s="68">
        <f>G38</f>
        <v>0.15384615384615385</v>
      </c>
      <c r="H55" s="68">
        <f>H38</f>
        <v>0.13559322033898305</v>
      </c>
    </row>
    <row r="56" spans="1:8">
      <c r="A56" s="56" t="s">
        <v>54</v>
      </c>
      <c r="B56" s="56"/>
      <c r="C56" s="56"/>
      <c r="D56" s="55">
        <f>D23</f>
        <v>4.1000000000000009E-2</v>
      </c>
      <c r="E56" s="55">
        <f>E23</f>
        <v>4.1000000000000009E-2</v>
      </c>
      <c r="F56" s="55">
        <f>F23</f>
        <v>4.1000000000000009E-2</v>
      </c>
      <c r="G56" s="55">
        <f>G23</f>
        <v>4.1000000000000009E-2</v>
      </c>
      <c r="H56" s="55">
        <f>H23</f>
        <v>4.1000000000000009E-2</v>
      </c>
    </row>
    <row r="57" spans="1:8">
      <c r="A57" s="45" t="s">
        <v>55</v>
      </c>
      <c r="B57" s="45"/>
      <c r="C57" s="56"/>
      <c r="D57" s="56">
        <v>0.22</v>
      </c>
      <c r="E57" s="56">
        <v>0.22</v>
      </c>
      <c r="F57" s="56">
        <v>0.22</v>
      </c>
      <c r="G57" s="56">
        <v>0.22</v>
      </c>
      <c r="H57" s="56">
        <v>0.22</v>
      </c>
    </row>
    <row r="58" spans="1:8">
      <c r="A58" s="45"/>
      <c r="B58" s="45"/>
      <c r="C58" s="56"/>
      <c r="D58" s="63" t="s">
        <v>6</v>
      </c>
      <c r="E58" s="63" t="s">
        <v>6</v>
      </c>
      <c r="F58" s="63" t="s">
        <v>6</v>
      </c>
      <c r="G58" s="63" t="s">
        <v>6</v>
      </c>
      <c r="H58" s="63" t="s">
        <v>6</v>
      </c>
    </row>
    <row r="59" spans="1:8">
      <c r="A59" s="95" t="s">
        <v>56</v>
      </c>
      <c r="B59" s="95"/>
      <c r="C59" s="95"/>
      <c r="D59" s="96">
        <f>D55*(D56*(1-D57))</f>
        <v>6.7326315789473694E-3</v>
      </c>
      <c r="E59" s="96">
        <f>E55*(E56*(1-E57))</f>
        <v>6.1179130434782627E-3</v>
      </c>
      <c r="F59" s="96">
        <f>F55*(F56*(1-F57))</f>
        <v>5.5137931034482781E-3</v>
      </c>
      <c r="G59" s="96">
        <f>G55*(G56*(1-G57))</f>
        <v>4.9200000000000016E-3</v>
      </c>
      <c r="H59" s="96">
        <f>H55*(H56*(1-H57))</f>
        <v>4.3362711864406789E-3</v>
      </c>
    </row>
    <row r="60" spans="1:8">
      <c r="A60" s="45"/>
      <c r="B60" s="45"/>
      <c r="C60" s="45"/>
      <c r="D60" s="63" t="s">
        <v>6</v>
      </c>
      <c r="E60" s="63" t="s">
        <v>6</v>
      </c>
      <c r="F60" s="63" t="s">
        <v>6</v>
      </c>
      <c r="G60" s="63" t="s">
        <v>6</v>
      </c>
      <c r="H60" s="63" t="s">
        <v>6</v>
      </c>
    </row>
    <row r="61" spans="1:8">
      <c r="A61" s="44" t="s">
        <v>57</v>
      </c>
      <c r="B61" s="44"/>
      <c r="C61" s="98"/>
      <c r="D61" s="99">
        <f>D59+D53</f>
        <v>7.5117005935524991E-2</v>
      </c>
      <c r="E61" s="99">
        <f>E59+E53</f>
        <v>7.6198758062319322E-2</v>
      </c>
      <c r="F61" s="99">
        <f>F59+F53</f>
        <v>7.346875584209997E-2</v>
      </c>
      <c r="G61" s="99">
        <f>G59+G53</f>
        <v>7.4375163916243311E-2</v>
      </c>
      <c r="H61" s="99">
        <f>H59+H53</f>
        <v>7.5266209141672369E-2</v>
      </c>
    </row>
    <row r="62" spans="1:8">
      <c r="A62" s="45"/>
      <c r="B62" s="45"/>
      <c r="C62" s="45"/>
      <c r="D62" s="48" t="s">
        <v>8</v>
      </c>
      <c r="E62" s="48" t="s">
        <v>8</v>
      </c>
      <c r="F62" s="48" t="s">
        <v>8</v>
      </c>
      <c r="G62" s="48" t="s">
        <v>8</v>
      </c>
      <c r="H62" s="48" t="s">
        <v>8</v>
      </c>
    </row>
    <row r="63" spans="1:8">
      <c r="A63" s="45"/>
      <c r="B63" s="45"/>
      <c r="C63" s="45"/>
      <c r="D63" s="45"/>
      <c r="E63" s="45"/>
      <c r="F63" s="45"/>
      <c r="G63" s="45"/>
      <c r="H63" s="45"/>
    </row>
    <row r="64" spans="1:8">
      <c r="A64" s="45"/>
      <c r="B64" s="45"/>
      <c r="C64" s="45"/>
      <c r="D64" s="45"/>
      <c r="E64" s="45"/>
      <c r="F64" s="45"/>
      <c r="G64" s="45"/>
      <c r="H64" s="45"/>
    </row>
    <row r="65" spans="1:8">
      <c r="A65" s="45"/>
      <c r="B65" s="45"/>
      <c r="C65" s="45"/>
      <c r="D65" s="45"/>
      <c r="E65" s="45"/>
      <c r="F65" s="45"/>
      <c r="G65" s="45"/>
      <c r="H65" s="45"/>
    </row>
    <row r="66" spans="1:8">
      <c r="A66" s="45"/>
      <c r="B66" s="70" t="s">
        <v>58</v>
      </c>
      <c r="C66" s="71"/>
      <c r="D66" s="71"/>
      <c r="E66" s="71"/>
      <c r="F66" s="71"/>
      <c r="G66" s="71"/>
      <c r="H66" s="72"/>
    </row>
    <row r="67" spans="1:8" ht="22.5">
      <c r="A67" s="45"/>
      <c r="B67" s="73"/>
      <c r="C67" s="74" t="s">
        <v>59</v>
      </c>
      <c r="D67" s="75" t="s">
        <v>10</v>
      </c>
      <c r="E67" s="75" t="s">
        <v>11</v>
      </c>
      <c r="F67" s="75" t="s">
        <v>60</v>
      </c>
      <c r="G67" s="76" t="s">
        <v>12</v>
      </c>
      <c r="H67" s="77" t="s">
        <v>13</v>
      </c>
    </row>
    <row r="68" spans="1:8">
      <c r="A68" s="45"/>
      <c r="B68" s="73">
        <v>1</v>
      </c>
      <c r="C68" s="78" t="s">
        <v>61</v>
      </c>
      <c r="D68" s="79">
        <v>1.2</v>
      </c>
      <c r="E68" s="79">
        <f>(188+5)/212</f>
        <v>0.910377358490566</v>
      </c>
      <c r="F68" s="102">
        <v>22000</v>
      </c>
      <c r="G68" s="81">
        <v>0.22</v>
      </c>
      <c r="H68" s="82">
        <f>+D68/(1+(1-G68)*E68)</f>
        <v>0.70171567275335145</v>
      </c>
    </row>
    <row r="69" spans="1:8">
      <c r="A69" s="45"/>
      <c r="B69" s="73">
        <v>2</v>
      </c>
      <c r="C69" s="83" t="s">
        <v>62</v>
      </c>
      <c r="D69" s="83">
        <v>1.35</v>
      </c>
      <c r="E69" s="79">
        <f>(32+2)/94</f>
        <v>0.36170212765957449</v>
      </c>
      <c r="F69" s="103">
        <v>5000</v>
      </c>
      <c r="G69" s="84">
        <v>0.22</v>
      </c>
      <c r="H69" s="82">
        <f>+D69/(1+(1-G69)*E69)</f>
        <v>1.0529372718221042</v>
      </c>
    </row>
    <row r="70" spans="1:8">
      <c r="A70" s="45"/>
      <c r="B70" s="73">
        <v>3</v>
      </c>
      <c r="C70" s="74"/>
      <c r="D70" s="78"/>
      <c r="E70" s="83"/>
      <c r="F70" s="80"/>
      <c r="G70" s="81"/>
      <c r="H70" s="82">
        <f>+D70/(1+(1-G70)*E70)</f>
        <v>0</v>
      </c>
    </row>
    <row r="71" spans="1:8">
      <c r="A71" s="45"/>
      <c r="B71" s="73">
        <v>4</v>
      </c>
      <c r="C71" s="74"/>
      <c r="D71" s="78"/>
      <c r="E71" s="83"/>
      <c r="F71" s="80"/>
      <c r="G71" s="81"/>
      <c r="H71" s="82">
        <f>+D71/(1+(1-G71)*E71)</f>
        <v>0</v>
      </c>
    </row>
    <row r="72" spans="1:8">
      <c r="A72" s="45"/>
      <c r="B72" s="73">
        <v>5</v>
      </c>
      <c r="C72" s="74"/>
      <c r="D72" s="78"/>
      <c r="E72" s="83"/>
      <c r="F72" s="80"/>
      <c r="G72" s="81"/>
      <c r="H72" s="82">
        <f>+D72/(1+(1-G72)*E72)</f>
        <v>0</v>
      </c>
    </row>
    <row r="73" spans="1:8">
      <c r="A73" s="45"/>
      <c r="B73" s="73"/>
      <c r="C73" s="78"/>
      <c r="D73" s="78"/>
      <c r="E73" s="78"/>
      <c r="F73" s="78"/>
      <c r="G73" s="85"/>
      <c r="H73" s="86"/>
    </row>
    <row r="74" spans="1:8" ht="15.75" thickBot="1">
      <c r="A74" s="45"/>
      <c r="B74" s="73"/>
      <c r="C74" s="78"/>
      <c r="D74" s="47">
        <v>2023</v>
      </c>
      <c r="E74" s="47">
        <v>2024</v>
      </c>
      <c r="F74" s="47">
        <v>2025</v>
      </c>
      <c r="G74" s="47">
        <v>2026</v>
      </c>
      <c r="H74" s="87">
        <v>2027</v>
      </c>
    </row>
    <row r="75" spans="1:8" ht="35.25" thickBot="1">
      <c r="A75" s="45"/>
      <c r="B75" s="73"/>
      <c r="C75" s="88" t="s">
        <v>63</v>
      </c>
      <c r="D75" s="89">
        <f>((H68*F68)/(F68+F69)+(H69*F69)/(F68+F69))</f>
        <v>0.76675670961793529</v>
      </c>
      <c r="E75" s="78">
        <f>D75</f>
        <v>0.76675670961793529</v>
      </c>
      <c r="F75" s="78">
        <f>E75</f>
        <v>0.76675670961793529</v>
      </c>
      <c r="G75" s="78">
        <f>F75</f>
        <v>0.76675670961793529</v>
      </c>
      <c r="H75" s="90">
        <f>G75</f>
        <v>0.76675670961793529</v>
      </c>
    </row>
    <row r="76" spans="1:8">
      <c r="A76" s="45"/>
      <c r="B76" s="73"/>
      <c r="C76" s="45"/>
      <c r="D76" s="45"/>
      <c r="E76" s="45"/>
      <c r="F76" s="45"/>
      <c r="G76" s="45"/>
      <c r="H76" s="91"/>
    </row>
    <row r="77" spans="1:8">
      <c r="A77" s="45"/>
      <c r="B77" s="92"/>
      <c r="C77" s="93"/>
      <c r="D77" s="93"/>
      <c r="E77" s="93"/>
      <c r="F77" s="93"/>
      <c r="G77" s="93"/>
      <c r="H77" s="9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7:S28"/>
  <sheetViews>
    <sheetView topLeftCell="E8" workbookViewId="0">
      <selection activeCell="O16" sqref="O16"/>
    </sheetView>
  </sheetViews>
  <sheetFormatPr defaultRowHeight="15"/>
  <cols>
    <col min="4" max="4" width="51.28515625" customWidth="1"/>
    <col min="5" max="5" width="10.7109375" bestFit="1" customWidth="1"/>
    <col min="12" max="12" width="11" customWidth="1"/>
  </cols>
  <sheetData>
    <row r="7" spans="3:19">
      <c r="D7" s="1"/>
      <c r="E7" s="2"/>
      <c r="F7" s="3"/>
      <c r="G7" s="4"/>
      <c r="H7" s="5"/>
      <c r="I7" s="5"/>
      <c r="J7" s="5"/>
      <c r="K7" s="6"/>
      <c r="L7" s="6"/>
      <c r="M7" s="7"/>
      <c r="N7" s="7"/>
      <c r="O7" s="7"/>
      <c r="P7" s="8"/>
      <c r="Q7" s="8"/>
      <c r="R7" s="8"/>
      <c r="S7" s="8"/>
    </row>
    <row r="8" spans="3:19">
      <c r="D8" s="9"/>
      <c r="E8" s="2"/>
      <c r="F8" s="10">
        <v>2025</v>
      </c>
      <c r="G8" s="10">
        <v>2026</v>
      </c>
      <c r="H8" s="10">
        <v>2027</v>
      </c>
      <c r="I8" s="10">
        <v>2028</v>
      </c>
      <c r="J8" s="10">
        <v>2029</v>
      </c>
      <c r="K8" s="10"/>
      <c r="L8" s="11" t="s">
        <v>12</v>
      </c>
      <c r="M8" s="7"/>
      <c r="N8" s="7"/>
      <c r="O8" s="7"/>
      <c r="P8" s="8"/>
      <c r="Q8" s="8"/>
      <c r="R8" s="8"/>
      <c r="S8" s="8"/>
    </row>
    <row r="9" spans="3:19">
      <c r="D9" s="12" t="s">
        <v>14</v>
      </c>
      <c r="E9" s="2"/>
      <c r="F9" s="13">
        <v>60000</v>
      </c>
      <c r="G9" s="13">
        <v>70000</v>
      </c>
      <c r="H9" s="13">
        <v>80000</v>
      </c>
      <c r="I9" s="13">
        <v>90000</v>
      </c>
      <c r="J9" s="13">
        <v>95000</v>
      </c>
      <c r="K9" s="11"/>
      <c r="L9" s="8">
        <v>2025</v>
      </c>
      <c r="M9" s="7"/>
      <c r="N9" s="7"/>
      <c r="O9" s="7"/>
      <c r="P9" s="7"/>
      <c r="Q9" s="8"/>
      <c r="R9" s="8"/>
      <c r="S9" s="8"/>
    </row>
    <row r="10" spans="3:19">
      <c r="D10" s="9" t="s">
        <v>15</v>
      </c>
      <c r="E10" s="2"/>
      <c r="F10" s="13">
        <f>F9*$L$10</f>
        <v>13200</v>
      </c>
      <c r="G10" s="13">
        <f t="shared" ref="G10:J10" si="0">G9*$L$10</f>
        <v>15400</v>
      </c>
      <c r="H10" s="13">
        <f t="shared" si="0"/>
        <v>17600</v>
      </c>
      <c r="I10" s="13">
        <f t="shared" si="0"/>
        <v>19800</v>
      </c>
      <c r="J10" s="13">
        <f t="shared" si="0"/>
        <v>20900</v>
      </c>
      <c r="K10" s="11"/>
      <c r="L10" s="14">
        <v>0.22</v>
      </c>
      <c r="M10" s="7"/>
      <c r="N10" s="7"/>
      <c r="O10" s="7"/>
      <c r="P10" s="8"/>
      <c r="Q10" s="8"/>
      <c r="R10" s="8"/>
      <c r="S10" s="8"/>
    </row>
    <row r="11" spans="3:19">
      <c r="D11" s="9" t="s">
        <v>16</v>
      </c>
      <c r="E11" s="2"/>
      <c r="F11" s="13">
        <v>8000</v>
      </c>
      <c r="G11" s="13">
        <v>9000</v>
      </c>
      <c r="H11" s="13">
        <v>10000</v>
      </c>
      <c r="I11" s="13">
        <v>11000</v>
      </c>
      <c r="J11" s="13">
        <v>12000</v>
      </c>
      <c r="K11" s="11"/>
      <c r="L11" s="11"/>
      <c r="M11" s="7"/>
      <c r="N11" s="7"/>
      <c r="O11" s="7"/>
      <c r="P11" s="8"/>
      <c r="Q11" s="8"/>
      <c r="R11" s="8"/>
      <c r="S11" s="8"/>
    </row>
    <row r="12" spans="3:19">
      <c r="D12" s="9" t="s">
        <v>17</v>
      </c>
      <c r="E12" s="2"/>
      <c r="F12" s="13">
        <v>0</v>
      </c>
      <c r="G12" s="13">
        <v>0</v>
      </c>
      <c r="H12" s="13">
        <v>0</v>
      </c>
      <c r="I12" s="13">
        <v>0</v>
      </c>
      <c r="J12" s="13">
        <v>0</v>
      </c>
      <c r="K12" s="11"/>
      <c r="L12" s="11"/>
      <c r="M12" s="7"/>
      <c r="N12" s="7"/>
      <c r="O12" s="7"/>
      <c r="P12" s="8"/>
      <c r="Q12" s="8"/>
      <c r="R12" s="8"/>
      <c r="S12" s="8"/>
    </row>
    <row r="13" spans="3:19">
      <c r="D13" s="15" t="s">
        <v>18</v>
      </c>
      <c r="E13" s="2"/>
      <c r="F13" s="16">
        <f>F9-F10-F11-F12</f>
        <v>38800</v>
      </c>
      <c r="G13" s="16">
        <f t="shared" ref="G13:J13" si="1">G9-G10-G11-G12</f>
        <v>45600</v>
      </c>
      <c r="H13" s="16">
        <f t="shared" si="1"/>
        <v>52400</v>
      </c>
      <c r="I13" s="16">
        <f t="shared" si="1"/>
        <v>59200</v>
      </c>
      <c r="J13" s="16">
        <f t="shared" si="1"/>
        <v>62100</v>
      </c>
      <c r="K13" s="17"/>
      <c r="L13" s="17"/>
      <c r="M13" s="7"/>
      <c r="N13" s="7"/>
      <c r="O13" s="7"/>
      <c r="P13" s="8"/>
      <c r="Q13" s="8"/>
      <c r="R13" s="8"/>
      <c r="S13" s="8"/>
    </row>
    <row r="14" spans="3:19">
      <c r="D14" s="18"/>
      <c r="E14" s="2"/>
      <c r="F14" s="13"/>
      <c r="G14" s="3"/>
      <c r="H14" s="2"/>
      <c r="I14" s="2"/>
      <c r="J14" s="2"/>
      <c r="K14" s="7"/>
      <c r="L14" s="19" t="s">
        <v>23</v>
      </c>
      <c r="M14" s="19" t="s">
        <v>0</v>
      </c>
      <c r="N14" s="19" t="s">
        <v>1</v>
      </c>
      <c r="O14" s="7"/>
      <c r="P14" s="8"/>
      <c r="Q14" s="8"/>
      <c r="R14" s="8"/>
      <c r="S14" s="8"/>
    </row>
    <row r="15" spans="3:19">
      <c r="D15" s="20"/>
      <c r="E15" s="2"/>
      <c r="F15" s="3"/>
      <c r="G15" s="3"/>
      <c r="H15" s="2"/>
      <c r="I15" s="2"/>
      <c r="J15" s="2"/>
      <c r="K15" s="7"/>
      <c r="L15" s="21" t="s">
        <v>24</v>
      </c>
      <c r="M15" s="19" t="s">
        <v>2</v>
      </c>
      <c r="N15" s="19" t="s">
        <v>3</v>
      </c>
      <c r="O15" s="7">
        <v>2025</v>
      </c>
      <c r="P15" s="8">
        <v>2026</v>
      </c>
      <c r="Q15" s="7">
        <v>2027</v>
      </c>
      <c r="R15" s="8">
        <v>2028</v>
      </c>
      <c r="S15" s="7">
        <v>2029</v>
      </c>
    </row>
    <row r="16" spans="3:19">
      <c r="C16">
        <v>1</v>
      </c>
      <c r="D16" s="22" t="s">
        <v>19</v>
      </c>
      <c r="E16" s="23"/>
      <c r="F16" s="24">
        <f>C16/(1+O16)^(6/12)</f>
        <v>0.96443315999955403</v>
      </c>
      <c r="G16" s="24">
        <f>F16/(1+P16)</f>
        <v>0.89614780984880738</v>
      </c>
      <c r="H16" s="24">
        <f>G16/(1+Q16)</f>
        <v>0.83481499109474289</v>
      </c>
      <c r="I16" s="24">
        <f>H16/(1+R16)</f>
        <v>0.77702372423775035</v>
      </c>
      <c r="J16" s="24">
        <f>I16/(1+S16)</f>
        <v>0.7226338162881607</v>
      </c>
      <c r="K16" s="25"/>
      <c r="L16" s="26">
        <v>3.3000000000000002E-2</v>
      </c>
      <c r="M16" s="26">
        <v>6.6000000000000003E-2</v>
      </c>
      <c r="N16" s="26">
        <v>0</v>
      </c>
      <c r="O16" s="27">
        <f>WACC!D61</f>
        <v>7.5117005935524991E-2</v>
      </c>
      <c r="P16" s="27">
        <f>WACC!E61</f>
        <v>7.6198758062319322E-2</v>
      </c>
      <c r="Q16" s="27">
        <f>WACC!F61</f>
        <v>7.346875584209997E-2</v>
      </c>
      <c r="R16" s="27">
        <f>WACC!G61</f>
        <v>7.4375163916243311E-2</v>
      </c>
      <c r="S16" s="27">
        <f>WACC!H61</f>
        <v>7.5266209141672369E-2</v>
      </c>
    </row>
    <row r="17" spans="3:19">
      <c r="D17" s="28" t="s">
        <v>72</v>
      </c>
      <c r="E17" s="29">
        <v>0.01</v>
      </c>
      <c r="F17" s="30"/>
      <c r="G17" s="3"/>
      <c r="H17" s="2"/>
      <c r="I17" s="2"/>
      <c r="J17" s="2"/>
      <c r="K17" s="7"/>
      <c r="L17" s="31">
        <v>45657</v>
      </c>
      <c r="M17" s="7"/>
      <c r="N17" s="7"/>
      <c r="O17" s="7"/>
      <c r="P17" s="8"/>
      <c r="Q17" s="8"/>
      <c r="R17" s="8"/>
      <c r="S17" s="8"/>
    </row>
    <row r="18" spans="3:19">
      <c r="D18" s="20"/>
      <c r="E18" s="2"/>
      <c r="F18" s="3"/>
      <c r="G18" s="3"/>
      <c r="H18" s="2"/>
      <c r="I18" s="2"/>
      <c r="J18" s="2"/>
      <c r="K18" s="7"/>
      <c r="L18" s="7"/>
      <c r="M18" s="7"/>
      <c r="N18" s="7"/>
      <c r="O18" s="7"/>
      <c r="P18" s="8"/>
      <c r="Q18" s="8"/>
      <c r="R18" s="8"/>
      <c r="S18" s="8"/>
    </row>
    <row r="19" spans="3:19">
      <c r="D19" s="20"/>
      <c r="E19" s="101" t="s">
        <v>48</v>
      </c>
      <c r="F19" s="10">
        <f t="shared" ref="F19:J19" si="2">F8</f>
        <v>2025</v>
      </c>
      <c r="G19" s="10">
        <f t="shared" si="2"/>
        <v>2026</v>
      </c>
      <c r="H19" s="32">
        <f t="shared" si="2"/>
        <v>2027</v>
      </c>
      <c r="I19" s="32">
        <f t="shared" si="2"/>
        <v>2028</v>
      </c>
      <c r="J19" s="32">
        <f t="shared" si="2"/>
        <v>2029</v>
      </c>
      <c r="K19" s="32"/>
      <c r="L19" s="32"/>
      <c r="M19" s="7" t="s">
        <v>4</v>
      </c>
      <c r="N19" s="7"/>
      <c r="O19" s="7"/>
      <c r="P19" s="8"/>
      <c r="Q19" s="8"/>
      <c r="R19" s="8"/>
      <c r="S19" s="8"/>
    </row>
    <row r="20" spans="3:19">
      <c r="D20" s="33" t="s">
        <v>66</v>
      </c>
      <c r="E20" s="34">
        <f>SUM(F20:J20)</f>
        <v>212904.01673682246</v>
      </c>
      <c r="F20" s="16">
        <f t="shared" ref="F20:J20" si="3">F13*F16</f>
        <v>37420.006607982694</v>
      </c>
      <c r="G20" s="16">
        <f t="shared" si="3"/>
        <v>40864.340129105614</v>
      </c>
      <c r="H20" s="35">
        <f t="shared" si="3"/>
        <v>43744.305533364524</v>
      </c>
      <c r="I20" s="35">
        <f t="shared" si="3"/>
        <v>45999.804474874822</v>
      </c>
      <c r="J20" s="35">
        <f t="shared" si="3"/>
        <v>44875.559991494782</v>
      </c>
      <c r="K20" s="17"/>
      <c r="L20" s="17"/>
      <c r="M20" s="7" t="s">
        <v>5</v>
      </c>
      <c r="N20" s="7"/>
      <c r="O20" s="7"/>
      <c r="P20" s="8"/>
      <c r="Q20" s="8"/>
      <c r="R20" s="8"/>
      <c r="S20" s="8"/>
    </row>
    <row r="21" spans="3:19">
      <c r="D21" s="22" t="s">
        <v>20</v>
      </c>
      <c r="E21" s="34">
        <f>J13*(1+E17)/(S16-E17)</f>
        <v>961002.65091009764</v>
      </c>
      <c r="F21" s="3"/>
      <c r="G21" s="3"/>
      <c r="H21" s="2"/>
      <c r="I21" s="2"/>
      <c r="J21" s="35"/>
      <c r="K21" s="17"/>
      <c r="L21" s="17"/>
      <c r="M21" s="7"/>
      <c r="N21" s="7"/>
      <c r="O21" s="7"/>
      <c r="P21" s="8"/>
      <c r="Q21" s="8"/>
      <c r="R21" s="8"/>
      <c r="S21" s="8"/>
    </row>
    <row r="22" spans="3:19">
      <c r="C22" s="100">
        <f>E22/E23</f>
        <v>0.76535805670959589</v>
      </c>
      <c r="D22" s="36" t="s">
        <v>21</v>
      </c>
      <c r="E22" s="34">
        <f>E21*J16</f>
        <v>694453.01309020293</v>
      </c>
      <c r="F22" s="16"/>
      <c r="G22" s="3"/>
      <c r="H22" s="2"/>
      <c r="I22" s="2"/>
      <c r="J22" s="2"/>
      <c r="K22" s="7"/>
      <c r="L22" s="7"/>
      <c r="M22" s="7"/>
      <c r="N22" s="7"/>
      <c r="O22" s="7"/>
      <c r="P22" s="8"/>
      <c r="Q22" s="8"/>
      <c r="R22" s="8"/>
      <c r="S22" s="8"/>
    </row>
    <row r="23" spans="3:19">
      <c r="D23" s="22" t="s">
        <v>22</v>
      </c>
      <c r="E23" s="37">
        <f>E20+E22</f>
        <v>907357.02982702537</v>
      </c>
      <c r="F23" s="13"/>
      <c r="G23" s="3"/>
      <c r="H23" s="2"/>
      <c r="I23" s="2"/>
      <c r="J23" s="2"/>
      <c r="K23" s="7"/>
      <c r="L23" s="7"/>
      <c r="M23" s="7"/>
      <c r="N23" s="7"/>
      <c r="O23" s="7"/>
      <c r="P23" s="8"/>
      <c r="Q23" s="8"/>
      <c r="R23" s="8"/>
      <c r="S23" s="8"/>
    </row>
    <row r="24" spans="3:19">
      <c r="D24" s="38" t="s">
        <v>67</v>
      </c>
      <c r="E24" s="34">
        <v>1200000</v>
      </c>
      <c r="F24" s="13"/>
      <c r="G24" s="3"/>
      <c r="H24" s="2"/>
      <c r="I24" s="2"/>
      <c r="J24" s="2"/>
      <c r="K24" s="7"/>
      <c r="L24" s="7"/>
      <c r="M24" s="7"/>
      <c r="N24" s="7"/>
      <c r="O24" s="7"/>
      <c r="P24" s="8"/>
      <c r="Q24" s="8"/>
      <c r="R24" s="8"/>
      <c r="S24" s="8"/>
    </row>
    <row r="25" spans="3:19" ht="17.25" customHeight="1">
      <c r="D25" s="36" t="s">
        <v>68</v>
      </c>
      <c r="E25" s="34">
        <v>1000000</v>
      </c>
      <c r="F25" s="13"/>
      <c r="G25" s="3"/>
      <c r="H25" s="2"/>
      <c r="I25" s="2"/>
      <c r="J25" s="2"/>
      <c r="K25" s="7"/>
      <c r="L25" s="7"/>
      <c r="M25" s="7"/>
      <c r="N25" s="7"/>
      <c r="O25" s="7"/>
      <c r="P25" s="8"/>
      <c r="Q25" s="8"/>
      <c r="R25" s="8"/>
      <c r="S25" s="8"/>
    </row>
    <row r="26" spans="3:19">
      <c r="D26" s="39" t="s">
        <v>71</v>
      </c>
      <c r="E26" s="34">
        <v>500000</v>
      </c>
      <c r="F26" s="13"/>
      <c r="G26" s="3"/>
      <c r="H26" s="2"/>
      <c r="I26" s="2"/>
      <c r="J26" s="2"/>
      <c r="K26" s="7"/>
      <c r="L26" s="7"/>
      <c r="M26" s="7"/>
      <c r="N26" s="7"/>
      <c r="O26" s="7"/>
      <c r="P26" s="8"/>
      <c r="Q26" s="8"/>
      <c r="R26" s="8"/>
      <c r="S26" s="8"/>
    </row>
    <row r="27" spans="3:19" ht="15.75" thickBot="1">
      <c r="D27" s="39" t="s">
        <v>69</v>
      </c>
      <c r="E27" s="34">
        <v>150000</v>
      </c>
      <c r="F27" s="13"/>
      <c r="G27" s="3"/>
      <c r="H27" s="2"/>
      <c r="I27" s="2"/>
      <c r="J27" s="2"/>
      <c r="K27" s="7"/>
      <c r="L27" s="7"/>
      <c r="M27" s="7"/>
      <c r="N27" s="7"/>
      <c r="O27" s="7"/>
      <c r="P27" s="8"/>
      <c r="Q27" s="8"/>
      <c r="R27" s="8"/>
      <c r="S27" s="8"/>
    </row>
    <row r="28" spans="3:19" ht="15.75" thickBot="1">
      <c r="D28" s="40" t="s">
        <v>64</v>
      </c>
      <c r="E28" s="41">
        <f>E23-E24+E25+E26+E27</f>
        <v>1357357.0298270253</v>
      </c>
      <c r="F28" s="16"/>
      <c r="G28" s="3"/>
      <c r="H28" s="42"/>
      <c r="I28" s="43"/>
      <c r="J28" s="2"/>
      <c r="K28" s="7"/>
      <c r="L28" s="7"/>
      <c r="M28" s="7"/>
      <c r="N28" s="7"/>
      <c r="O28" s="7"/>
      <c r="P28" s="8"/>
      <c r="Q28" s="8"/>
      <c r="R28" s="8"/>
      <c r="S28" s="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WACC</vt:lpstr>
      <vt:lpstr>Valuation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George</dc:creator>
  <cp:lastModifiedBy>George</cp:lastModifiedBy>
  <dcterms:created xsi:type="dcterms:W3CDTF">2023-09-16T06:55:59Z</dcterms:created>
  <dcterms:modified xsi:type="dcterms:W3CDTF">2025-09-29T05:14:20Z</dcterms:modified>
</cp:coreProperties>
</file>